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Здания с плоской кровлей" sheetId="1" r:id="rId1"/>
    <sheet name="Здания со скатной кровлей" sheetId="2" r:id="rId2"/>
    <sheet name="Выбор молниеприемника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<sst xmlns="http://schemas.openxmlformats.org/spreadsheetml/2006/main" count="127" uniqueCount="61">
  <si>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Введите данные:</t>
  </si>
  <si>
    <t>м</t>
  </si>
  <si>
    <t>А - ширина здания</t>
  </si>
  <si>
    <t>B - длина здания</t>
  </si>
  <si>
    <t>H - высота здания</t>
  </si>
  <si>
    <t xml:space="preserve">Молниеприемная сетка </t>
  </si>
  <si>
    <t>NC1008</t>
  </si>
  <si>
    <t>NG3103</t>
  </si>
  <si>
    <t>X - шаг сетки</t>
  </si>
  <si>
    <t>шт</t>
  </si>
  <si>
    <t>ND2101</t>
  </si>
  <si>
    <t>NG3108</t>
  </si>
  <si>
    <t xml:space="preserve">   Универсальный соединитель</t>
  </si>
  <si>
    <t xml:space="preserve">   Параллельный зажим</t>
  </si>
  <si>
    <t xml:space="preserve">   Пруток 8 мм, горячеоцинкованный</t>
  </si>
  <si>
    <t xml:space="preserve">   Круглый пластиковый держатель с бетоном</t>
  </si>
  <si>
    <t>Токоотводы (опуски по фасаду)</t>
  </si>
  <si>
    <t>NC2254</t>
  </si>
  <si>
    <t>ND2307</t>
  </si>
  <si>
    <t xml:space="preserve">   Полоса 25х4, горячеоцинкованная</t>
  </si>
  <si>
    <t xml:space="preserve">   Фасадный держатель,100 мм</t>
  </si>
  <si>
    <t>NG3101</t>
  </si>
  <si>
    <t xml:space="preserve">   Крестовой соединитель с раздел. пластиной, 57х80 мм</t>
  </si>
  <si>
    <t>Контур заземления</t>
  </si>
  <si>
    <t>NC2444</t>
  </si>
  <si>
    <t>NE5503</t>
  </si>
  <si>
    <t xml:space="preserve">   Полоса 40х4, горячеоцинкованная</t>
  </si>
  <si>
    <t xml:space="preserve">   Вертикальный заземлитель из уголка 50х50х5 мм, 3 м</t>
  </si>
  <si>
    <t>ы</t>
  </si>
  <si>
    <t xml:space="preserve">   -   поля для ввода</t>
  </si>
  <si>
    <t>α° - угол ската</t>
  </si>
  <si>
    <t>°</t>
  </si>
  <si>
    <t>ND2204</t>
  </si>
  <si>
    <t>ND2214</t>
  </si>
  <si>
    <t xml:space="preserve">   Коньковый регулируемый зажим с пластик. держ.</t>
  </si>
  <si>
    <t xml:space="preserve">   Пластик. держатель под черепицу 330 мм</t>
  </si>
  <si>
    <t>I  класс - X не более 5 м (надежность 0,98)</t>
  </si>
  <si>
    <t>II и III класс - Х не более 10 м (надежность 0,95)</t>
  </si>
  <si>
    <t>А - расстояние до объекта</t>
  </si>
  <si>
    <t>H - высота объекта</t>
  </si>
  <si>
    <t>Надежность защиты (выбрать из списка)</t>
  </si>
  <si>
    <t>Комплект молниеприемника</t>
  </si>
  <si>
    <t>NL1000</t>
  </si>
  <si>
    <t>NL2000</t>
  </si>
  <si>
    <t>NL3000</t>
  </si>
  <si>
    <t>NL4000</t>
  </si>
  <si>
    <t>NL7000</t>
  </si>
  <si>
    <t>NL0345</t>
  </si>
  <si>
    <t>NL0500</t>
  </si>
  <si>
    <t>NL0700</t>
  </si>
  <si>
    <t>NG6606</t>
  </si>
  <si>
    <t>Молниеприемный стержень, 1 м</t>
  </si>
  <si>
    <t>Молниеприемный стержень, 2 м</t>
  </si>
  <si>
    <t>Молниеприемный стержень, 3 м</t>
  </si>
  <si>
    <t>Молниеприемный стержень, 4 м</t>
  </si>
  <si>
    <t>Молниеприемная мачта, 7м</t>
  </si>
  <si>
    <t>Бетонное основание, 20 кг</t>
  </si>
  <si>
    <t>Бетонное основание, 40 кг</t>
  </si>
  <si>
    <t>Тренога для молниеприемной мачты</t>
  </si>
  <si>
    <t>Соединитель проводника для молниеприемника</t>
  </si>
  <si>
    <t>отсутствует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</si>
</sst>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6" fillId="8" borderId="10" xfId="0" applyFont="1" applyFill="1" applyBorder="1" applyAlignment="1">
      <alignment/>
    </xf>
    <xf numFmtId="0" fontId="26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11" borderId="10" xfId="0" applyNumberForma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5</xdr:row>
      <xdr:rowOff>114300</xdr:rowOff>
    </xdr:from>
    <xdr:to>
      <xdr:col>17</xdr:col>
      <xdr:colOff>104775</xdr:colOff>
      <xdr:row>32</xdr:row>
      <xdr:rowOff>161925</xdr:rowOff>
    </xdr:to>
    <xdr:pic>
      <xdr:nvPicPr>
        <xdr:cNvPr id="1" name="Рисунок 1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66800"/>
          <a:ext cx="575310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6</xdr:row>
      <xdr:rowOff>133350</xdr:rowOff>
    </xdr:from>
    <xdr:to>
      <xdr:col>17</xdr:col>
      <xdr:colOff>47625</xdr:colOff>
      <xdr:row>33</xdr:row>
      <xdr:rowOff>161925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76350"/>
          <a:ext cx="5524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95250</xdr:rowOff>
    </xdr:from>
    <xdr:to>
      <xdr:col>14</xdr:col>
      <xdr:colOff>514350</xdr:colOff>
      <xdr:row>27</xdr:row>
      <xdr:rowOff>47625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85750"/>
          <a:ext cx="516255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C2:L31"/>
  <sheetViews>
    <sheetView tabSelected="1" zoomScale="115" zoomScaleNormal="115" zoomScalePageLayoutView="0" workbookViewId="0" topLeftCell="A1">
      <selection activeCell="S16" sqref="S16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140625" style="4" customWidth="1"/>
    <col min="6" max="6" width="6.00390625" style="2" customWidth="1"/>
  </cols>
  <sheetData>
    <row r="2" spans="3:4" ht="15">
      <c r="C2" s="7"/>
      <c r="D2" s="1" t="s">
        <v>29</v>
      </c>
    </row>
    <row r="4" ht="15">
      <c r="D4" s="1" t="s">
        <v>0</v>
      </c>
    </row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ht="15">
      <c r="E9" s="21"/>
    </row>
    <row r="10" spans="4:6" ht="15">
      <c r="D10" s="8" t="s">
        <v>8</v>
      </c>
      <c r="E10" s="18"/>
      <c r="F10" s="9" t="s">
        <v>1</v>
      </c>
    </row>
    <row r="11" ht="15">
      <c r="D11" s="3" t="s">
        <v>36</v>
      </c>
    </row>
    <row r="12" ht="15">
      <c r="D12" s="3" t="s">
        <v>37</v>
      </c>
    </row>
    <row r="13" ht="15"/>
    <row r="14" ht="15">
      <c r="D14" s="5" t="s">
        <v>5</v>
      </c>
    </row>
    <row r="15" ht="15">
      <c r="D15" s="5"/>
    </row>
    <row r="16" spans="3:6" ht="15">
      <c r="C16" s="10" t="s">
        <v>6</v>
      </c>
      <c r="D16" s="11" t="s">
        <v>14</v>
      </c>
      <c r="E16" s="19">
        <f>IF(AND($E$7&gt;0,$E$6&gt;0,$E$10&gt;0),ROUNDUP(((ROUNDUP($E$6/$E$10,0)+1)*$E$7+(ROUNDUP($E$7/$E$10,0)+1)*$E$6)*1.1,0),0)</f>
        <v>0</v>
      </c>
      <c r="F16" s="9" t="s">
        <v>1</v>
      </c>
    </row>
    <row r="17" spans="3:6" ht="15">
      <c r="C17" s="10" t="s">
        <v>7</v>
      </c>
      <c r="D17" s="11" t="s">
        <v>12</v>
      </c>
      <c r="E17" s="19">
        <f>IF(AND($E$7&gt;0,$E$6&gt;0,$E$10&gt;0),ROUNDUP(((((ROUNDUP($E$6/$E$10,0)+1)*((ROUNDUP($E$7/$E$10,0)+1))))*1.1),0)+5,0)</f>
        <v>0</v>
      </c>
      <c r="F17" s="9" t="s">
        <v>9</v>
      </c>
    </row>
    <row r="18" spans="3:6" ht="15">
      <c r="C18" s="10" t="s">
        <v>11</v>
      </c>
      <c r="D18" s="11" t="s">
        <v>13</v>
      </c>
      <c r="E18" s="19">
        <f>IF(AND($E$7&gt;0,$E$6&gt;0),ROUNDUP($E$16/110,0)+ROUNDUP($E$17*0.1,0),0)</f>
        <v>0</v>
      </c>
      <c r="F18" s="9" t="s">
        <v>9</v>
      </c>
    </row>
    <row r="19" spans="3:6" ht="15">
      <c r="C19" s="10" t="s">
        <v>10</v>
      </c>
      <c r="D19" s="11" t="s">
        <v>15</v>
      </c>
      <c r="E19" s="19">
        <f>IF($E$16&gt;$E$17*3,$E$16-($E$17*3),0)</f>
        <v>0</v>
      </c>
      <c r="F19" s="9" t="s">
        <v>9</v>
      </c>
    </row>
    <row r="20" ht="15">
      <c r="E20" s="20"/>
    </row>
    <row r="21" spans="4:5" ht="15">
      <c r="D21" s="6" t="s">
        <v>16</v>
      </c>
      <c r="E21" s="20"/>
    </row>
    <row r="22" spans="4:5" ht="15">
      <c r="D22" s="6"/>
      <c r="E22" s="20"/>
    </row>
    <row r="23" spans="3:6" ht="15">
      <c r="C23" s="10" t="s">
        <v>17</v>
      </c>
      <c r="D23" s="11" t="s">
        <v>19</v>
      </c>
      <c r="E23" s="19">
        <f>IF(AND($E$8&gt;0,$E$16&gt;0),(((ROUNDUP($E$6/($E$10*2),0))+1)*2+((ROUNDUP($E$7/($E$10*2),0))*2+1)-3)*($E$8+2),0)</f>
        <v>0</v>
      </c>
      <c r="F23" s="9" t="s">
        <v>1</v>
      </c>
    </row>
    <row r="24" spans="3:6" ht="15">
      <c r="C24" s="10" t="s">
        <v>18</v>
      </c>
      <c r="D24" s="11" t="s">
        <v>20</v>
      </c>
      <c r="E24" s="19">
        <f>IF(AND($E$8&gt;0,$E$16&gt;0),(((ROUNDUP($E$6/($E$10*2),0))+1)*2+((ROUNDUP($E$7/($E$10*2),0))*2+1)-2)*($E$8-1),0)</f>
        <v>0</v>
      </c>
      <c r="F24" s="9" t="s">
        <v>9</v>
      </c>
    </row>
    <row r="25" spans="3:6" ht="15">
      <c r="C25" s="10" t="s">
        <v>21</v>
      </c>
      <c r="D25" s="11" t="s">
        <v>22</v>
      </c>
      <c r="E25" s="19">
        <f>IF($E$23&gt;0,(((ROUNDUP($E$6/($E$10*2),0))+1)*2+((ROUNDUP($E$7/($E$10*2),0))*2+1)-2)*2+ROUNDUP($E$23/62,0),0)</f>
        <v>0</v>
      </c>
      <c r="F25" s="9" t="s">
        <v>9</v>
      </c>
    </row>
    <row r="26" spans="5:12" ht="15">
      <c r="E26" s="20"/>
      <c r="L26" t="s">
        <v>28</v>
      </c>
    </row>
    <row r="27" spans="4:5" ht="15">
      <c r="D27" s="6" t="s">
        <v>23</v>
      </c>
      <c r="E27" s="20"/>
    </row>
    <row r="28" ht="15">
      <c r="E28" s="20"/>
    </row>
    <row r="29" spans="3:6" ht="15">
      <c r="C29" s="10" t="s">
        <v>24</v>
      </c>
      <c r="D29" s="11" t="s">
        <v>26</v>
      </c>
      <c r="E29" s="19">
        <f>IF(AND($E$7&gt;0,$E$6&gt;0),ROUNDUP((($E$6+2)*2+($E$7+2)*2)*1.05,0),0)</f>
        <v>0</v>
      </c>
      <c r="F29" s="9" t="s">
        <v>1</v>
      </c>
    </row>
    <row r="30" spans="3:6" ht="15">
      <c r="C30" s="10" t="s">
        <v>25</v>
      </c>
      <c r="D30" s="11" t="s">
        <v>27</v>
      </c>
      <c r="E30" s="19">
        <f>ROUNDUP($E$29/3,0)</f>
        <v>0</v>
      </c>
      <c r="F30" s="9" t="s">
        <v>9</v>
      </c>
    </row>
    <row r="31" spans="3:6" ht="15">
      <c r="C31" s="10" t="s">
        <v>21</v>
      </c>
      <c r="D31" s="11" t="s">
        <v>22</v>
      </c>
      <c r="E31" s="19">
        <f>ROUNDUP($E$29/38,0)</f>
        <v>0</v>
      </c>
      <c r="F31" s="9" t="s">
        <v>9</v>
      </c>
    </row>
    <row r="32" ht="15"/>
  </sheetData>
  <sheetProtection password="DDE2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C2:F32"/>
  <sheetViews>
    <sheetView zoomScale="115" zoomScaleNormal="115" zoomScalePageLayoutView="0" workbookViewId="0" topLeftCell="A1">
      <selection activeCell="R17" sqref="R17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140625" style="4" customWidth="1"/>
    <col min="6" max="6" width="6.00390625" style="2" customWidth="1"/>
    <col min="7" max="29" width="9.140625" style="15" customWidth="1"/>
  </cols>
  <sheetData>
    <row r="2" spans="3:4" ht="15">
      <c r="C2" s="7"/>
      <c r="D2" s="1" t="s">
        <v>29</v>
      </c>
    </row>
    <row r="4" ht="15">
      <c r="D4" s="1" t="s">
        <v>0</v>
      </c>
    </row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spans="4:6" ht="15">
      <c r="D9" s="8" t="s">
        <v>30</v>
      </c>
      <c r="E9" s="22"/>
      <c r="F9" s="14" t="s">
        <v>31</v>
      </c>
    </row>
    <row r="10" spans="4:6" ht="15">
      <c r="D10" s="8" t="s">
        <v>8</v>
      </c>
      <c r="E10" s="18"/>
      <c r="F10" s="9" t="s">
        <v>1</v>
      </c>
    </row>
    <row r="11" ht="15">
      <c r="D11" s="3" t="s">
        <v>36</v>
      </c>
    </row>
    <row r="12" ht="15">
      <c r="D12" s="3" t="s">
        <v>37</v>
      </c>
    </row>
    <row r="13" ht="15"/>
    <row r="14" ht="15">
      <c r="D14" s="5" t="s">
        <v>5</v>
      </c>
    </row>
    <row r="15" ht="15">
      <c r="D15" s="5"/>
    </row>
    <row r="16" spans="3:6" ht="15">
      <c r="C16" s="10" t="s">
        <v>6</v>
      </c>
      <c r="D16" s="11" t="s">
        <v>14</v>
      </c>
      <c r="E16" s="19">
        <f>IF(AND($E$7&gt;0,$E$6&gt;0,$E$10&gt;0),ROUNDUP(((ROUNDUP(($E$6/COS($E$9*3.14/180))/$E$10,0)+1)*$E$7+(ROUNDUP($E$7/$E$10,0)+1)*($E$6/COS($E$9*3.14/180)))*1.1,0),0)</f>
        <v>0</v>
      </c>
      <c r="F16" s="13" t="s">
        <v>1</v>
      </c>
    </row>
    <row r="17" spans="3:6" ht="15">
      <c r="C17" s="10" t="s">
        <v>7</v>
      </c>
      <c r="D17" s="11" t="s">
        <v>12</v>
      </c>
      <c r="E17" s="19">
        <f>IF(AND($E$7&gt;0,$E$6&gt;0,$E$10&gt;0),ROUNDUP(((((ROUNDUP($E$6/$E$10,0)+1)*((ROUNDUP($E$7/$E$10,0)+1))))*1.1),0)+5,0)</f>
        <v>0</v>
      </c>
      <c r="F17" s="13" t="s">
        <v>9</v>
      </c>
    </row>
    <row r="18" spans="3:6" ht="15">
      <c r="C18" s="10" t="s">
        <v>11</v>
      </c>
      <c r="D18" s="11" t="s">
        <v>13</v>
      </c>
      <c r="E18" s="19">
        <f>IF(AND($E$7&gt;0,$E$6&gt;0),ROUNDUP($E$16/110,0)+ROUNDUP($E$17*0.1,0),0)</f>
        <v>0</v>
      </c>
      <c r="F18" s="13" t="s">
        <v>9</v>
      </c>
    </row>
    <row r="19" spans="3:6" ht="15">
      <c r="C19" s="12" t="s">
        <v>32</v>
      </c>
      <c r="D19" s="11" t="s">
        <v>34</v>
      </c>
      <c r="E19" s="19">
        <f>IF(AND($E$6&gt;0,$E$7&gt;0,$E$10&gt;0),ROUNDUP($E$7+1,0),0)</f>
        <v>0</v>
      </c>
      <c r="F19" s="13" t="s">
        <v>9</v>
      </c>
    </row>
    <row r="20" spans="3:6" ht="15">
      <c r="C20" s="12" t="s">
        <v>33</v>
      </c>
      <c r="D20" s="11" t="s">
        <v>35</v>
      </c>
      <c r="E20" s="19">
        <f>IF($E$16&gt;$E$17*3,$E$16-($E$17*3)-$E$19,0)</f>
        <v>0</v>
      </c>
      <c r="F20" s="13" t="s">
        <v>9</v>
      </c>
    </row>
    <row r="21" ht="15">
      <c r="E21" s="20"/>
    </row>
    <row r="22" spans="4:5" ht="15">
      <c r="D22" s="6" t="s">
        <v>16</v>
      </c>
      <c r="E22" s="20"/>
    </row>
    <row r="23" spans="4:5" ht="15">
      <c r="D23" s="6"/>
      <c r="E23" s="20"/>
    </row>
    <row r="24" spans="3:6" ht="15">
      <c r="C24" s="10" t="s">
        <v>17</v>
      </c>
      <c r="D24" s="11" t="s">
        <v>19</v>
      </c>
      <c r="E24" s="19">
        <f>IF(AND($E$8&gt;0,$E$16&gt;0),(((ROUNDUP($E$6/($E$10*2),0))+1)*2+((ROUNDUP($E$7/($E$10*2),0))*2+1)-3)*($E$8+2),0)</f>
        <v>0</v>
      </c>
      <c r="F24" s="13" t="s">
        <v>1</v>
      </c>
    </row>
    <row r="25" spans="3:6" ht="15">
      <c r="C25" s="10" t="s">
        <v>18</v>
      </c>
      <c r="D25" s="11" t="s">
        <v>20</v>
      </c>
      <c r="E25" s="19">
        <f>IF(AND($E$8&gt;0,$E$16&gt;0),(((ROUNDUP($E$6/($E$10*2),0))+1)*2+((ROUNDUP($E$7/($E$10*2),0))*2+1)-2)*($E$8-1),0)</f>
        <v>0</v>
      </c>
      <c r="F25" s="13" t="s">
        <v>9</v>
      </c>
    </row>
    <row r="26" spans="3:6" ht="15">
      <c r="C26" s="10" t="s">
        <v>21</v>
      </c>
      <c r="D26" s="11" t="s">
        <v>22</v>
      </c>
      <c r="E26" s="19">
        <f>IF($E$24&gt;0,(((ROUNDUP($E$6/($E$10*2),0))+1)*2+((ROUNDUP($E$7/($E$10*2),0))*2+1)-2)*2+ROUNDUP($E$24/62,0),0)</f>
        <v>0</v>
      </c>
      <c r="F26" s="13" t="s">
        <v>9</v>
      </c>
    </row>
    <row r="27" ht="15">
      <c r="E27" s="20"/>
    </row>
    <row r="28" spans="4:5" ht="15">
      <c r="D28" s="6" t="s">
        <v>23</v>
      </c>
      <c r="E28" s="20"/>
    </row>
    <row r="29" ht="15">
      <c r="E29" s="20"/>
    </row>
    <row r="30" spans="3:6" ht="15">
      <c r="C30" s="10" t="s">
        <v>24</v>
      </c>
      <c r="D30" s="11" t="s">
        <v>26</v>
      </c>
      <c r="E30" s="19">
        <f>IF(AND($E$7&gt;0,$E$6&gt;0),ROUNDUP((($E$6+2)*2+($E$7+2)*2)*1.05,0),0)</f>
        <v>0</v>
      </c>
      <c r="F30" s="13" t="s">
        <v>1</v>
      </c>
    </row>
    <row r="31" spans="3:6" ht="15">
      <c r="C31" s="10" t="s">
        <v>25</v>
      </c>
      <c r="D31" s="11" t="s">
        <v>27</v>
      </c>
      <c r="E31" s="19">
        <f>ROUNDUP($E$30/3,0)</f>
        <v>0</v>
      </c>
      <c r="F31" s="13" t="s">
        <v>9</v>
      </c>
    </row>
    <row r="32" spans="3:6" ht="15">
      <c r="C32" s="10" t="s">
        <v>21</v>
      </c>
      <c r="D32" s="11" t="s">
        <v>22</v>
      </c>
      <c r="E32" s="19">
        <f>ROUNDUP($E$30/38,0)</f>
        <v>0</v>
      </c>
      <c r="F32" s="13" t="s">
        <v>9</v>
      </c>
    </row>
    <row r="33" ht="15"/>
  </sheetData>
  <sheetProtection password="DDE2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12"/>
  <sheetViews>
    <sheetView zoomScale="115" zoomScaleNormal="115" zoomScalePageLayoutView="0" workbookViewId="0" topLeftCell="A1">
      <selection activeCell="C36" sqref="C36"/>
    </sheetView>
  </sheetViews>
  <sheetFormatPr defaultColWidth="9.140625" defaultRowHeight="15"/>
  <cols>
    <col min="1" max="2" width="3.7109375" style="0" customWidth="1"/>
    <col min="3" max="3" width="10.57421875" style="0" customWidth="1"/>
    <col min="4" max="4" width="51.57421875" style="0" customWidth="1"/>
    <col min="6" max="6" width="5.421875" style="0" customWidth="1"/>
  </cols>
  <sheetData>
    <row r="2" spans="3:4" ht="15">
      <c r="C2" s="7"/>
      <c r="D2" s="1" t="s">
        <v>29</v>
      </c>
    </row>
    <row r="4" ht="15">
      <c r="D4" s="1" t="s">
        <v>0</v>
      </c>
    </row>
    <row r="6" spans="4:6" ht="15">
      <c r="D6" s="8" t="s">
        <v>38</v>
      </c>
      <c r="E6" s="18"/>
      <c r="F6" s="9" t="s">
        <v>1</v>
      </c>
    </row>
    <row r="7" spans="4:6" ht="15">
      <c r="D7" s="8" t="s">
        <v>39</v>
      </c>
      <c r="E7" s="18"/>
      <c r="F7" s="9" t="s">
        <v>1</v>
      </c>
    </row>
    <row r="8" spans="4:6" ht="15">
      <c r="D8" s="8" t="s">
        <v>40</v>
      </c>
      <c r="E8" s="18">
        <v>0.9</v>
      </c>
      <c r="F8" s="9"/>
    </row>
    <row r="10" ht="15">
      <c r="D10" s="6" t="s">
        <v>41</v>
      </c>
    </row>
    <row r="12" spans="3:6" ht="15">
      <c r="C12" s="23" t="str">
        <f>IF(AND($E$8=0.9,$E$6&gt;0,$E$7&gt;0),$C$110,IF($E$8=0.99,$C$111,IF($E$8=0.999,$C$112,$C$109)))</f>
        <v>отсутствует</v>
      </c>
      <c r="D12" s="24">
        <f>IF($C$12=$C$100,$D$100,IF($C$12=$C$101,$D$101,IF($C$12=$C$102,$D$102,IF($C$12=$C$103,$D$103,IF($C$12=$C$104,$D$104,)))))</f>
        <v>0</v>
      </c>
      <c r="E12" s="19">
        <f>IF(OR($C$12=$C$100,$C$12=$C$101,$C$12=$C$102,$C$12=$C$103,$C$12=$C$104),1,)</f>
        <v>0</v>
      </c>
      <c r="F12" s="17" t="s">
        <v>9</v>
      </c>
    </row>
    <row r="13" spans="3:6" ht="15">
      <c r="C13" s="23">
        <f>IF(AND(OR($C$12=$C$100,$C$12=$C$101),$E$6&gt;0,$E$7&gt;0),$C$105,IF(AND(OR($C$12=$C$102,$C$12=$C$103,$C$12=$C$104),$E$6&gt;0,$E$7&gt;0),$C$106,))</f>
        <v>0</v>
      </c>
      <c r="D13" s="24">
        <f>IF($C$13=$C$105,$D$105,IF($C$13=$C$106,$D$106,))</f>
        <v>0</v>
      </c>
      <c r="E13" s="19">
        <f>IF($C$12=$C$104,3,IF(OR($C$12=$C$103,$C$12=$C$102,$C$12=$C$101,$C$12=$C$100),1,))</f>
        <v>0</v>
      </c>
      <c r="F13" s="17" t="s">
        <v>9</v>
      </c>
    </row>
    <row r="14" spans="3:6" ht="15">
      <c r="C14" s="23">
        <f>IF(OR($C$12=$C$100,$C$12=$C$101,$C$12=$C$102,$C$12=$C$103,$C$12=$C$104),$C$108,)</f>
        <v>0</v>
      </c>
      <c r="D14" s="24">
        <f>IF($C$14=$C$108,$D$108,)</f>
        <v>0</v>
      </c>
      <c r="E14" s="19">
        <f>IF($E$12=1,1,)</f>
        <v>0</v>
      </c>
      <c r="F14" s="17" t="s">
        <v>9</v>
      </c>
    </row>
    <row r="15" spans="3:6" ht="15">
      <c r="C15" s="19">
        <f>IF($C$12=$C$104,$C$107,)</f>
        <v>0</v>
      </c>
      <c r="D15" s="24">
        <f>IF($C$15=$C$107,$D$107,)</f>
        <v>0</v>
      </c>
      <c r="E15" s="19">
        <f>IF($C$12=$C$104,1,)</f>
        <v>0</v>
      </c>
      <c r="F15" s="17" t="s">
        <v>9</v>
      </c>
    </row>
    <row r="100" spans="3:4" ht="15" hidden="1">
      <c r="C100" t="s">
        <v>42</v>
      </c>
      <c r="D100" s="16" t="s">
        <v>51</v>
      </c>
    </row>
    <row r="101" spans="3:4" ht="15" hidden="1">
      <c r="C101" t="s">
        <v>43</v>
      </c>
      <c r="D101" s="16" t="s">
        <v>52</v>
      </c>
    </row>
    <row r="102" spans="3:4" ht="15" hidden="1">
      <c r="C102" t="s">
        <v>44</v>
      </c>
      <c r="D102" s="16" t="s">
        <v>53</v>
      </c>
    </row>
    <row r="103" spans="3:4" ht="15" hidden="1">
      <c r="C103" t="s">
        <v>45</v>
      </c>
      <c r="D103" s="16" t="s">
        <v>54</v>
      </c>
    </row>
    <row r="104" spans="3:4" ht="15" hidden="1">
      <c r="C104" t="s">
        <v>46</v>
      </c>
      <c r="D104" s="16" t="s">
        <v>55</v>
      </c>
    </row>
    <row r="105" spans="3:4" ht="15" hidden="1">
      <c r="C105" t="s">
        <v>47</v>
      </c>
      <c r="D105" s="16" t="s">
        <v>56</v>
      </c>
    </row>
    <row r="106" spans="3:4" ht="15" hidden="1">
      <c r="C106" t="s">
        <v>48</v>
      </c>
      <c r="D106" s="16" t="s">
        <v>57</v>
      </c>
    </row>
    <row r="107" spans="3:4" ht="15" hidden="1">
      <c r="C107" t="s">
        <v>49</v>
      </c>
      <c r="D107" s="16" t="s">
        <v>58</v>
      </c>
    </row>
    <row r="108" spans="3:4" ht="15" hidden="1">
      <c r="C108" t="s">
        <v>50</v>
      </c>
      <c r="D108" s="16" t="s">
        <v>59</v>
      </c>
    </row>
    <row r="109" ht="15" hidden="1">
      <c r="C109" t="s">
        <v>60</v>
      </c>
    </row>
    <row r="110" spans="3:4" ht="15" hidden="1">
      <c r="C110" s="10" t="str">
        <f>IF(OR($D$110=1,AND(0&lt;$D$110,1&gt;$D$110)),$C$100,IF(OR($D$110=2,AND(1&lt;$D$110,2&gt;$D$110)),$C$101,IF(OR($D$110=3,AND(2&lt;$D$110,3&gt;$D$110)),$C$102,IF(OR($D$110=4,AND(3&lt;$D$110,4&gt;$D$110)),$C$103,IF(OR($D$110=7,AND(4&lt;$D$110,7&gt;$D$110)),$C$104,$C$109)))))</f>
        <v>отсутствует</v>
      </c>
      <c r="D110">
        <f>(0.85*$E$6+1.2*$E$7)/1.02</f>
        <v>0</v>
      </c>
    </row>
    <row r="111" spans="3:4" ht="15" hidden="1">
      <c r="C111" s="10" t="str">
        <f>IF(OR($D$111=1,AND(0&lt;$D$111,1&gt;$D$111)),$C$100,IF(OR($D$111=2,AND(1&lt;$D$111,2&gt;$D$111)),$C$101,IF(OR($D$111=3,AND(2&lt;$D$111,3&gt;$D$111)),$C$102,IF(OR($D$111=4,AND(3&lt;$D$111,4&gt;$D$111)),$C$103,IF(OR($D$111=7,AND(4&lt;$D$111,7&gt;$D$111)),$C$104,$C$109)))))</f>
        <v>отсутствует</v>
      </c>
      <c r="D111">
        <f>($E$6+$E$7)/0.8</f>
        <v>0</v>
      </c>
    </row>
    <row r="112" spans="3:4" ht="15" hidden="1">
      <c r="C112" s="10" t="str">
        <f>IF(OR($D$112=1,AND(0&lt;$D$112,1&gt;$D$112)),$C$100,IF(OR($D$112=2,AND(1&lt;$D$112,2&gt;$D$112)),$C$101,IF(OR($D$112=3,AND(2&lt;$D$112,3&gt;$D$112)),$C$102,IF(OR($D$112=4,AND(3&lt;$D$112,4&gt;$D$112)),$C$103,IF(OR($D$112=7,AND(4&lt;$D$112,7&gt;$D$112)),$C$104,$C$109)))))</f>
        <v>отсутствует</v>
      </c>
      <c r="D112">
        <f>(0.7*$E$6+0.6*$E$7)/0.42</f>
        <v>0</v>
      </c>
    </row>
  </sheetData>
  <sheetProtection password="DDE2" sheet="1" objects="1" scenarios="1"/>
  <dataValidations count="1">
    <dataValidation type="list" allowBlank="1" showInputMessage="1" showErrorMessage="1" sqref="E8">
      <formula1>"0,9,0,99,0,999"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2012-04-11T06:11:29Z</dcterms:created>
  <dcterms:modified xsi:type="dcterms:W3CDTF">2012-04-26T11:08:28Z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